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chez\Desktop\"/>
    </mc:Choice>
  </mc:AlternateContent>
  <xr:revisionPtr revIDLastSave="0" documentId="13_ncr:1_{D266F236-9333-4F69-A78A-FFE48E7F46F1}" xr6:coauthVersionLast="45" xr6:coauthVersionMax="45" xr10:uidLastSave="{00000000-0000-0000-0000-000000000000}"/>
  <bookViews>
    <workbookView xWindow="-120" yWindow="-120" windowWidth="29040" windowHeight="15840" activeTab="1" xr2:uid="{F2C2ECC2-CDEE-4122-B098-ABB73435FEA7}"/>
  </bookViews>
  <sheets>
    <sheet name="User Input" sheetId="2" r:id="rId1"/>
    <sheet name="Resul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7" i="1" s="1"/>
  <c r="E12" i="1"/>
  <c r="D12" i="1"/>
  <c r="B2" i="1" l="1"/>
  <c r="C24" i="1"/>
  <c r="C25" i="1" s="1"/>
  <c r="C21" i="1"/>
  <c r="F21" i="1" s="1"/>
  <c r="B24" i="1"/>
  <c r="C15" i="2"/>
  <c r="C12" i="1"/>
  <c r="F12" i="1" s="1"/>
  <c r="E26" i="2"/>
  <c r="I29" i="2"/>
  <c r="D39" i="2"/>
  <c r="B25" i="1" s="1"/>
  <c r="D25" i="1" s="1"/>
  <c r="D38" i="2"/>
  <c r="D37" i="2"/>
  <c r="E8" i="1" s="1"/>
  <c r="D35" i="2"/>
  <c r="B8" i="1" s="1"/>
  <c r="D30" i="2"/>
  <c r="C30" i="2"/>
  <c r="B30" i="2"/>
  <c r="B18" i="2"/>
  <c r="B21" i="2" s="1"/>
  <c r="B22" i="2" s="1"/>
  <c r="C17" i="1" l="1"/>
  <c r="C36" i="2"/>
  <c r="D25" i="2"/>
  <c r="D8" i="1"/>
  <c r="E30" i="2"/>
  <c r="B57" i="2"/>
  <c r="C16" i="1"/>
  <c r="F25" i="1"/>
  <c r="C25" i="2"/>
  <c r="E25" i="2"/>
  <c r="B25" i="2"/>
  <c r="I47" i="1"/>
  <c r="E28" i="2" l="1"/>
  <c r="B16" i="1"/>
  <c r="D16" i="1" s="1"/>
  <c r="D17" i="1" s="1"/>
  <c r="C40" i="2"/>
  <c r="E27" i="2"/>
  <c r="D36" i="2"/>
  <c r="E29" i="2" l="1"/>
  <c r="B58" i="2" s="1"/>
  <c r="C8" i="1" s="1"/>
  <c r="F8" i="1" s="1"/>
  <c r="D40" i="2"/>
  <c r="B17" i="1"/>
  <c r="F17" i="1" s="1"/>
  <c r="F26" i="1" l="1"/>
</calcChain>
</file>

<file path=xl/sharedStrings.xml><?xml version="1.0" encoding="utf-8"?>
<sst xmlns="http://schemas.openxmlformats.org/spreadsheetml/2006/main" count="112" uniqueCount="103">
  <si>
    <t>Creating a Test Plan</t>
  </si>
  <si>
    <t>Setting Up Collection Sites</t>
  </si>
  <si>
    <t>Conducting Tests</t>
  </si>
  <si>
    <t>Transporting Samples</t>
  </si>
  <si>
    <t>Reporting &amp; Billing</t>
  </si>
  <si>
    <t>District Information</t>
  </si>
  <si>
    <t>Total Number of Employees</t>
  </si>
  <si>
    <t>Testing Interval/Employee</t>
  </si>
  <si>
    <t>Admin/Support</t>
  </si>
  <si>
    <t>Assess Demand</t>
  </si>
  <si>
    <t>Outreach</t>
  </si>
  <si>
    <t>Cost</t>
  </si>
  <si>
    <t>Staffing</t>
  </si>
  <si>
    <t>Test Takers - RN/Health Tech</t>
  </si>
  <si>
    <t>Average Cost</t>
  </si>
  <si>
    <t>Staff</t>
  </si>
  <si>
    <t>Time per Test</t>
  </si>
  <si>
    <t>Total Enrollment</t>
  </si>
  <si>
    <t>FTE</t>
  </si>
  <si>
    <t>Furn. &amp; $ Equip</t>
  </si>
  <si>
    <t>Prep</t>
  </si>
  <si>
    <t>Courier</t>
  </si>
  <si>
    <t>Expense Item</t>
  </si>
  <si>
    <t>Item</t>
  </si>
  <si>
    <t>50% Administat.</t>
  </si>
  <si>
    <t>District-wide Meet</t>
  </si>
  <si>
    <t>Communications Coord</t>
  </si>
  <si>
    <t>Once a month</t>
  </si>
  <si>
    <t>Total Cost</t>
  </si>
  <si>
    <t>Average Days Per Month Operating</t>
  </si>
  <si>
    <t>Average # of Daily Tests Required</t>
  </si>
  <si>
    <t>Twice a month</t>
  </si>
  <si>
    <t>Once every two months</t>
  </si>
  <si>
    <t>Average Time Per Test</t>
  </si>
  <si>
    <t>Minutes</t>
  </si>
  <si>
    <t>Daily Time Required for Testing</t>
  </si>
  <si>
    <t>Minimum Daily Hours Required</t>
  </si>
  <si>
    <t>Minimum Required FTE</t>
  </si>
  <si>
    <t>Annual Cost</t>
  </si>
  <si>
    <t>Hours/day</t>
  </si>
  <si>
    <t>Custodial Time (Sanitizing)</t>
  </si>
  <si>
    <t>Non-Personel Costs</t>
  </si>
  <si>
    <t>Storage Containers - Thermal</t>
  </si>
  <si>
    <t>Tables and Chairs</t>
  </si>
  <si>
    <t>Computer for entering data</t>
  </si>
  <si>
    <t>Printer for Labeling Samples</t>
  </si>
  <si>
    <t>PPE: Gloves, Masks, Gowns, goggles</t>
  </si>
  <si>
    <t>Training Staff on testing proceedures</t>
  </si>
  <si>
    <t>Minutes/Hours</t>
  </si>
  <si>
    <t>Communications</t>
  </si>
  <si>
    <t>Shade Coverings</t>
  </si>
  <si>
    <t>Daily Courier Costs</t>
  </si>
  <si>
    <t>Scanner</t>
  </si>
  <si>
    <t>Mgt</t>
  </si>
  <si>
    <t>Cert Grp</t>
  </si>
  <si>
    <t>Class Grp</t>
  </si>
  <si>
    <t>Enter District Information</t>
  </si>
  <si>
    <t>Calculated Data</t>
  </si>
  <si>
    <t>2 hours x Mgt FTE x Average Hourly Rate</t>
  </si>
  <si>
    <t>Total</t>
  </si>
  <si>
    <t>Average Annual Work Days</t>
  </si>
  <si>
    <t>Average Hours/Day</t>
  </si>
  <si>
    <t>Total Average Cost Per Hour</t>
  </si>
  <si>
    <t xml:space="preserve">2 Hour Districtwide meeting </t>
  </si>
  <si>
    <t>% of Total Employees</t>
  </si>
  <si>
    <t>Site/Department Meetings</t>
  </si>
  <si>
    <t>1 hour x All FTE x Average Rate</t>
  </si>
  <si>
    <t>Average Cost/Hour</t>
  </si>
  <si>
    <t>Accounting Technician (Billing)</t>
  </si>
  <si>
    <t>Average Time Per Billing</t>
  </si>
  <si>
    <t>User needs to fill in the fields in green</t>
  </si>
  <si>
    <t>These fields will be automatically populated</t>
  </si>
  <si>
    <t>(For Test Site Workers)</t>
  </si>
  <si>
    <t>Supplies - Labels</t>
  </si>
  <si>
    <t>Staff FTE/$</t>
  </si>
  <si>
    <t>FTE/PPE $</t>
  </si>
  <si>
    <t>Enter into Color Program Min/Sample</t>
  </si>
  <si>
    <t>Time(min/hour)</t>
  </si>
  <si>
    <t>Total Estimated Cost to District =</t>
  </si>
  <si>
    <t>District Sponsored COVID 19 Testing Sites Calculator Input Sheet</t>
  </si>
  <si>
    <t>District Name:</t>
  </si>
  <si>
    <t>Data</t>
  </si>
  <si>
    <t>Districtwide COVID Administrator</t>
  </si>
  <si>
    <t>Annual Totals</t>
  </si>
  <si>
    <t>District Sponsored COVID 19 Testing Site Calculator</t>
  </si>
  <si>
    <t>Total Additional FTE</t>
  </si>
  <si>
    <t>Liability Ins.</t>
  </si>
  <si>
    <t>Liability (malpractice Insurance)</t>
  </si>
  <si>
    <t>Legal Expense Increase</t>
  </si>
  <si>
    <t>Legal Cost</t>
  </si>
  <si>
    <t>Test Kit Cost</t>
  </si>
  <si>
    <t>(Should be Covered by Medical Insurance Povider)</t>
  </si>
  <si>
    <t>COVID19 Test Costs per person</t>
  </si>
  <si>
    <t>(Possibly .05% Increase)</t>
  </si>
  <si>
    <t>(Best Estimate)</t>
  </si>
  <si>
    <t># of Tests/Cost</t>
  </si>
  <si>
    <t>weekly Reports Minutes/Hours</t>
  </si>
  <si>
    <t>Medical Health Ins. Increase/FTE</t>
  </si>
  <si>
    <t>Medical Ins.</t>
  </si>
  <si>
    <t xml:space="preserve">Increase </t>
  </si>
  <si>
    <t>(Possible Increase in H&amp;W annual premiums)</t>
  </si>
  <si>
    <t>Average  Annual Pay Per FTE</t>
  </si>
  <si>
    <t>LEA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</si>
</sst>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6" fontId="0" fillId="2" borderId="4" xfId="1" applyNumberFormat="1" applyFont="1" applyFill="1" applyBorder="1"/>
    <xf numFmtId="165" fontId="0" fillId="2" borderId="4" xfId="1" applyNumberFormat="1" applyFont="1" applyFill="1" applyBorder="1"/>
    <xf numFmtId="0" fontId="0" fillId="2" borderId="4" xfId="0" applyFill="1" applyBorder="1"/>
    <xf numFmtId="0" fontId="0" fillId="0" borderId="0" xfId="0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2" fillId="0" borderId="11" xfId="0" applyFont="1" applyBorder="1"/>
    <xf numFmtId="0" fontId="0" fillId="0" borderId="0" xfId="0" applyBorder="1"/>
    <xf numFmtId="164" fontId="0" fillId="0" borderId="0" xfId="0" applyNumberFormat="1" applyFill="1" applyBorder="1"/>
    <xf numFmtId="0" fontId="0" fillId="0" borderId="4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/>
    <xf numFmtId="0" fontId="6" fillId="5" borderId="0" xfId="0" applyFont="1" applyFill="1" applyAlignment="1">
      <alignment horizontal="right"/>
    </xf>
    <xf numFmtId="164" fontId="0" fillId="2" borderId="4" xfId="2" applyNumberFormat="1" applyFont="1" applyFill="1" applyBorder="1"/>
    <xf numFmtId="2" fontId="5" fillId="0" borderId="0" xfId="0" applyNumberFormat="1" applyFont="1"/>
    <xf numFmtId="164" fontId="0" fillId="4" borderId="4" xfId="2" applyNumberFormat="1" applyFont="1" applyFill="1" applyBorder="1"/>
    <xf numFmtId="0" fontId="5" fillId="0" borderId="0" xfId="0" applyFont="1"/>
    <xf numFmtId="164" fontId="0" fillId="3" borderId="4" xfId="2" applyNumberFormat="1" applyFont="1" applyFill="1" applyBorder="1" applyProtection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/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/>
    <xf numFmtId="0" fontId="0" fillId="0" borderId="22" xfId="0" applyBorder="1"/>
    <xf numFmtId="0" fontId="2" fillId="0" borderId="0" xfId="0" applyFont="1" applyBorder="1" applyAlignment="1">
      <alignment horizontal="right"/>
    </xf>
    <xf numFmtId="0" fontId="4" fillId="0" borderId="0" xfId="0" applyFont="1" applyAlignment="1"/>
    <xf numFmtId="0" fontId="0" fillId="0" borderId="0" xfId="0" applyFont="1" applyAlignment="1">
      <alignment horizontal="right"/>
    </xf>
    <xf numFmtId="43" fontId="0" fillId="0" borderId="0" xfId="0" applyNumberFormat="1"/>
    <xf numFmtId="164" fontId="0" fillId="3" borderId="15" xfId="0" applyNumberFormat="1" applyFill="1" applyBorder="1" applyProtection="1"/>
    <xf numFmtId="166" fontId="0" fillId="3" borderId="1" xfId="1" applyNumberFormat="1" applyFont="1" applyFill="1" applyBorder="1" applyProtection="1"/>
    <xf numFmtId="0" fontId="0" fillId="3" borderId="1" xfId="0" applyFill="1" applyBorder="1" applyProtection="1"/>
    <xf numFmtId="164" fontId="0" fillId="3" borderId="13" xfId="0" applyNumberFormat="1" applyFill="1" applyBorder="1" applyProtection="1"/>
    <xf numFmtId="0" fontId="0" fillId="0" borderId="10" xfId="0" applyBorder="1" applyAlignment="1">
      <alignment horizontal="center" wrapText="1"/>
    </xf>
    <xf numFmtId="164" fontId="0" fillId="3" borderId="13" xfId="2" applyNumberFormat="1" applyFont="1" applyFill="1" applyBorder="1" applyProtection="1"/>
    <xf numFmtId="10" fontId="0" fillId="3" borderId="4" xfId="3" applyNumberFormat="1" applyFont="1" applyFill="1" applyBorder="1" applyProtection="1"/>
    <xf numFmtId="166" fontId="0" fillId="3" borderId="4" xfId="1" applyNumberFormat="1" applyFont="1" applyFill="1" applyBorder="1" applyProtection="1"/>
    <xf numFmtId="2" fontId="0" fillId="3" borderId="4" xfId="0" applyNumberFormat="1" applyFill="1" applyBorder="1" applyProtection="1"/>
    <xf numFmtId="44" fontId="0" fillId="3" borderId="4" xfId="2" applyFont="1" applyFill="1" applyBorder="1" applyProtection="1"/>
    <xf numFmtId="44" fontId="0" fillId="3" borderId="4" xfId="0" applyNumberFormat="1" applyFill="1" applyBorder="1" applyProtection="1"/>
    <xf numFmtId="43" fontId="0" fillId="3" borderId="4" xfId="0" applyNumberFormat="1" applyFill="1" applyBorder="1" applyProtection="1"/>
    <xf numFmtId="164" fontId="0" fillId="3" borderId="0" xfId="0" applyNumberFormat="1" applyFill="1" applyProtection="1"/>
    <xf numFmtId="164" fontId="7" fillId="3" borderId="0" xfId="0" applyNumberFormat="1" applyFont="1" applyFill="1" applyProtection="1"/>
    <xf numFmtId="164" fontId="0" fillId="3" borderId="0" xfId="2" applyNumberFormat="1" applyFont="1" applyFill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0" fillId="3" borderId="8" xfId="0" applyFill="1" applyBorder="1" applyProtection="1"/>
    <xf numFmtId="164" fontId="0" fillId="3" borderId="18" xfId="0" applyNumberFormat="1" applyFill="1" applyBorder="1" applyProtection="1"/>
    <xf numFmtId="0" fontId="8" fillId="6" borderId="8" xfId="0" applyFont="1" applyFill="1" applyBorder="1" applyAlignment="1" applyProtection="1">
      <alignment horizontal="center"/>
    </xf>
    <xf numFmtId="0" fontId="0" fillId="6" borderId="23" xfId="0" applyFill="1" applyBorder="1" applyProtection="1"/>
    <xf numFmtId="164" fontId="0" fillId="6" borderId="23" xfId="0" applyNumberFormat="1" applyFill="1" applyBorder="1" applyProtection="1"/>
    <xf numFmtId="0" fontId="0" fillId="6" borderId="23" xfId="0" applyFill="1" applyBorder="1" applyAlignment="1" applyProtection="1">
      <alignment horizontal="center"/>
    </xf>
    <xf numFmtId="164" fontId="7" fillId="6" borderId="23" xfId="0" applyNumberFormat="1" applyFont="1" applyFill="1" applyBorder="1" applyProtection="1"/>
    <xf numFmtId="164" fontId="2" fillId="6" borderId="24" xfId="0" applyNumberFormat="1" applyFont="1" applyFill="1" applyBorder="1" applyProtection="1"/>
    <xf numFmtId="164" fontId="0" fillId="3" borderId="1" xfId="0" applyNumberFormat="1" applyFill="1" applyBorder="1" applyProtection="1"/>
    <xf numFmtId="43" fontId="0" fillId="3" borderId="3" xfId="0" applyNumberForma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43" fontId="0" fillId="3" borderId="20" xfId="0" applyNumberFormat="1" applyFill="1" applyBorder="1" applyAlignment="1" applyProtection="1">
      <alignment horizontal="center"/>
    </xf>
    <xf numFmtId="164" fontId="0" fillId="3" borderId="18" xfId="2" applyNumberFormat="1" applyFont="1" applyFill="1" applyBorder="1" applyProtection="1"/>
    <xf numFmtId="43" fontId="0" fillId="3" borderId="15" xfId="0" applyNumberFormat="1" applyFill="1" applyBorder="1" applyAlignment="1" applyProtection="1"/>
    <xf numFmtId="43" fontId="0" fillId="3" borderId="21" xfId="0" applyNumberFormat="1" applyFill="1" applyBorder="1" applyProtection="1"/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3" borderId="13" xfId="2" applyNumberFormat="1" applyFont="1" applyFill="1" applyBorder="1" applyProtection="1">
      <protection locked="0"/>
    </xf>
    <xf numFmtId="166" fontId="0" fillId="3" borderId="3" xfId="1" applyNumberFormat="1" applyFont="1" applyFill="1" applyBorder="1" applyAlignment="1" applyProtection="1">
      <alignment horizontal="center"/>
    </xf>
    <xf numFmtId="166" fontId="0" fillId="3" borderId="18" xfId="0" applyNumberFormat="1" applyFill="1" applyBorder="1" applyProtection="1"/>
    <xf numFmtId="43" fontId="0" fillId="3" borderId="13" xfId="1" applyFont="1" applyFill="1" applyBorder="1" applyProtection="1"/>
    <xf numFmtId="166" fontId="0" fillId="3" borderId="4" xfId="0" applyNumberForma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605C-B20D-46B8-B3BC-63286841806D}">
  <sheetPr>
    <tabColor theme="9" tint="0.39997558519241921"/>
  </sheetPr>
  <dimension ref="A1:I86"/>
  <sheetViews>
    <sheetView workbookViewId="0">
      <selection activeCell="E8" sqref="E8"/>
    </sheetView>
  </sheetViews>
  <sheetFormatPr defaultRowHeight="15" x14ac:dyDescent="0.25"/>
  <cols>
    <col min="1" max="1" width="32.140625" customWidth="1"/>
    <col min="2" max="2" width="18.5703125" customWidth="1"/>
    <col min="3" max="4" width="14.85546875" customWidth="1"/>
    <col min="5" max="5" width="16.28515625" customWidth="1"/>
    <col min="7" max="7" width="9.5703125" customWidth="1"/>
    <col min="8" max="8" width="10" bestFit="1" customWidth="1"/>
    <col min="9" max="9" width="11.42578125" customWidth="1"/>
  </cols>
  <sheetData>
    <row r="1" spans="1:6" ht="23.25" x14ac:dyDescent="0.35">
      <c r="A1" s="99" t="s">
        <v>79</v>
      </c>
      <c r="B1" s="99"/>
      <c r="C1" s="99"/>
      <c r="D1" s="99"/>
      <c r="E1" s="99"/>
      <c r="F1" s="99"/>
    </row>
    <row r="6" spans="1:6" ht="18.75" x14ac:dyDescent="0.3">
      <c r="A6" s="32" t="s">
        <v>56</v>
      </c>
      <c r="B6" s="31"/>
      <c r="C6" t="s">
        <v>70</v>
      </c>
    </row>
    <row r="7" spans="1:6" ht="18.75" x14ac:dyDescent="0.3">
      <c r="A7" s="32" t="s">
        <v>57</v>
      </c>
      <c r="B7" s="29"/>
      <c r="C7" t="s">
        <v>71</v>
      </c>
    </row>
    <row r="10" spans="1:6" x14ac:dyDescent="0.25">
      <c r="A10" s="2" t="s">
        <v>5</v>
      </c>
      <c r="B10" s="41" t="s">
        <v>81</v>
      </c>
    </row>
    <row r="11" spans="1:6" x14ac:dyDescent="0.25">
      <c r="A11" s="2"/>
    </row>
    <row r="12" spans="1:6" x14ac:dyDescent="0.25">
      <c r="A12" s="47" t="s">
        <v>80</v>
      </c>
      <c r="B12" s="31" t="s">
        <v>102</v>
      </c>
      <c r="C12" s="31"/>
    </row>
    <row r="13" spans="1:6" x14ac:dyDescent="0.25">
      <c r="A13" s="1" t="s">
        <v>17</v>
      </c>
      <c r="B13" s="12">
        <v>21000</v>
      </c>
    </row>
    <row r="14" spans="1:6" x14ac:dyDescent="0.25">
      <c r="A14" s="1" t="s">
        <v>6</v>
      </c>
      <c r="B14" s="12">
        <v>3000</v>
      </c>
    </row>
    <row r="15" spans="1:6" x14ac:dyDescent="0.25">
      <c r="A15" s="1" t="s">
        <v>7</v>
      </c>
      <c r="B15" s="13">
        <v>0.5</v>
      </c>
      <c r="C15" s="11" t="str">
        <f>VLOOKUP(B15,B84:C86,2)</f>
        <v>Once every two months</v>
      </c>
    </row>
    <row r="16" spans="1:6" x14ac:dyDescent="0.25">
      <c r="A16" s="1" t="s">
        <v>29</v>
      </c>
      <c r="B16" s="14">
        <v>10</v>
      </c>
    </row>
    <row r="17" spans="1:9" ht="15.75" thickBot="1" x14ac:dyDescent="0.3">
      <c r="A17" s="1"/>
    </row>
    <row r="18" spans="1:9" x14ac:dyDescent="0.25">
      <c r="A18" s="1" t="s">
        <v>30</v>
      </c>
      <c r="B18" s="65">
        <f>(B14*B15)/B16</f>
        <v>150</v>
      </c>
    </row>
    <row r="19" spans="1:9" x14ac:dyDescent="0.25">
      <c r="A19" s="15" t="s">
        <v>33</v>
      </c>
      <c r="B19" s="14">
        <v>10</v>
      </c>
      <c r="C19" t="s">
        <v>34</v>
      </c>
    </row>
    <row r="20" spans="1:9" x14ac:dyDescent="0.25">
      <c r="A20" s="15" t="s">
        <v>69</v>
      </c>
      <c r="B20" s="30">
        <v>10</v>
      </c>
      <c r="C20" t="s">
        <v>34</v>
      </c>
    </row>
    <row r="21" spans="1:9" x14ac:dyDescent="0.25">
      <c r="A21" s="15" t="s">
        <v>35</v>
      </c>
      <c r="B21" s="56">
        <f>B18*B19</f>
        <v>1500</v>
      </c>
      <c r="C21" t="s">
        <v>34</v>
      </c>
    </row>
    <row r="22" spans="1:9" x14ac:dyDescent="0.25">
      <c r="A22" s="15" t="s">
        <v>36</v>
      </c>
      <c r="B22" s="60">
        <f>B21/60</f>
        <v>25</v>
      </c>
      <c r="C22" t="s">
        <v>39</v>
      </c>
    </row>
    <row r="24" spans="1:9" x14ac:dyDescent="0.25">
      <c r="B24" s="28" t="s">
        <v>53</v>
      </c>
      <c r="C24" s="28" t="s">
        <v>54</v>
      </c>
      <c r="D24" s="28" t="s">
        <v>55</v>
      </c>
      <c r="E24" s="28" t="s">
        <v>59</v>
      </c>
    </row>
    <row r="25" spans="1:9" x14ac:dyDescent="0.25">
      <c r="A25" s="1" t="s">
        <v>64</v>
      </c>
      <c r="B25" s="55">
        <f>B26/$E$26</f>
        <v>5.1724137931034482E-2</v>
      </c>
      <c r="C25" s="55">
        <f t="shared" ref="C25:E25" si="0">C26/$E$26</f>
        <v>0.5818965517241379</v>
      </c>
      <c r="D25" s="55">
        <f t="shared" si="0"/>
        <v>0.36637931034482757</v>
      </c>
      <c r="E25" s="55">
        <f t="shared" si="0"/>
        <v>1</v>
      </c>
    </row>
    <row r="26" spans="1:9" x14ac:dyDescent="0.25">
      <c r="A26" s="1" t="s">
        <v>18</v>
      </c>
      <c r="B26" s="12">
        <v>120</v>
      </c>
      <c r="C26" s="12">
        <v>1350</v>
      </c>
      <c r="D26" s="12">
        <v>850</v>
      </c>
      <c r="E26" s="56">
        <f>SUM(B26:D26)</f>
        <v>2320</v>
      </c>
      <c r="H26" s="48"/>
    </row>
    <row r="27" spans="1:9" x14ac:dyDescent="0.25">
      <c r="A27" s="1" t="s">
        <v>101</v>
      </c>
      <c r="B27" s="33">
        <v>130000</v>
      </c>
      <c r="C27" s="33">
        <v>90000</v>
      </c>
      <c r="D27" s="33">
        <v>45000</v>
      </c>
      <c r="E27" s="37">
        <f>(B27*B25)+(C27*C25)+(D27*D25)</f>
        <v>75581.896551724145</v>
      </c>
    </row>
    <row r="28" spans="1:9" x14ac:dyDescent="0.25">
      <c r="A28" s="1" t="s">
        <v>60</v>
      </c>
      <c r="B28" s="14">
        <v>225</v>
      </c>
      <c r="C28" s="14">
        <v>188</v>
      </c>
      <c r="D28" s="14">
        <v>190</v>
      </c>
      <c r="E28" s="57">
        <f>(B28*B25)+(C28*C25)+(D28*D25)</f>
        <v>190.64655172413791</v>
      </c>
    </row>
    <row r="29" spans="1:9" x14ac:dyDescent="0.25">
      <c r="A29" s="1" t="s">
        <v>61</v>
      </c>
      <c r="B29" s="14">
        <v>8</v>
      </c>
      <c r="C29" s="14">
        <v>7.5</v>
      </c>
      <c r="D29" s="14">
        <v>7</v>
      </c>
      <c r="E29" s="58">
        <f>((E27/E28)/I29)</f>
        <v>52.860049739995489</v>
      </c>
      <c r="F29" t="s">
        <v>67</v>
      </c>
      <c r="I29" s="36">
        <f>AVERAGE(B29:D29)</f>
        <v>7.5</v>
      </c>
    </row>
    <row r="30" spans="1:9" x14ac:dyDescent="0.25">
      <c r="A30" s="1" t="s">
        <v>62</v>
      </c>
      <c r="B30" s="58">
        <f>((B26*B27)/B28)/B29</f>
        <v>8666.6666666666661</v>
      </c>
      <c r="C30" s="58">
        <f t="shared" ref="C30:D30" si="1">((C26*C27)/C28)/C29</f>
        <v>86170.212765957447</v>
      </c>
      <c r="D30" s="58">
        <f t="shared" si="1"/>
        <v>28759.398496240603</v>
      </c>
      <c r="E30" s="59">
        <f>SUM(B30:D30)</f>
        <v>123596.27792886473</v>
      </c>
      <c r="F30" s="8"/>
    </row>
    <row r="32" spans="1:9" ht="15.75" thickBot="1" x14ac:dyDescent="0.3"/>
    <row r="33" spans="1:4" ht="15.75" thickBot="1" x14ac:dyDescent="0.3">
      <c r="A33" s="96" t="s">
        <v>22</v>
      </c>
      <c r="B33" s="97"/>
      <c r="C33" s="98"/>
    </row>
    <row r="34" spans="1:4" x14ac:dyDescent="0.25">
      <c r="A34" s="5" t="s">
        <v>12</v>
      </c>
      <c r="B34" s="5" t="s">
        <v>14</v>
      </c>
      <c r="C34" s="9" t="s">
        <v>18</v>
      </c>
      <c r="D34" s="10" t="s">
        <v>28</v>
      </c>
    </row>
    <row r="35" spans="1:4" x14ac:dyDescent="0.25">
      <c r="A35" t="s">
        <v>82</v>
      </c>
      <c r="B35" s="35">
        <v>135000</v>
      </c>
      <c r="C35" s="16">
        <v>0.5</v>
      </c>
      <c r="D35" s="61">
        <f>B35*C35</f>
        <v>67500</v>
      </c>
    </row>
    <row r="36" spans="1:4" x14ac:dyDescent="0.25">
      <c r="A36" t="s">
        <v>13</v>
      </c>
      <c r="B36" s="35">
        <v>55000</v>
      </c>
      <c r="C36" s="95">
        <f>ROUNDUP(B22/7.5,0)</f>
        <v>4</v>
      </c>
      <c r="D36" s="61">
        <f t="shared" ref="D36:D39" si="2">B36*C36</f>
        <v>220000</v>
      </c>
    </row>
    <row r="37" spans="1:4" x14ac:dyDescent="0.25">
      <c r="A37" t="s">
        <v>26</v>
      </c>
      <c r="B37" s="35">
        <v>125000</v>
      </c>
      <c r="C37" s="16">
        <v>0.25</v>
      </c>
      <c r="D37" s="61">
        <f t="shared" si="2"/>
        <v>31250</v>
      </c>
    </row>
    <row r="38" spans="1:4" x14ac:dyDescent="0.25">
      <c r="A38" t="s">
        <v>40</v>
      </c>
      <c r="B38" s="35">
        <v>55000</v>
      </c>
      <c r="C38" s="16">
        <v>0.5</v>
      </c>
      <c r="D38" s="61">
        <f t="shared" si="2"/>
        <v>27500</v>
      </c>
    </row>
    <row r="39" spans="1:4" ht="17.25" x14ac:dyDescent="0.4">
      <c r="A39" t="s">
        <v>68</v>
      </c>
      <c r="B39" s="35">
        <v>60000</v>
      </c>
      <c r="C39" s="16">
        <v>1</v>
      </c>
      <c r="D39" s="62">
        <f t="shared" si="2"/>
        <v>60000</v>
      </c>
    </row>
    <row r="40" spans="1:4" x14ac:dyDescent="0.25">
      <c r="B40" s="63" t="s">
        <v>85</v>
      </c>
      <c r="C40" s="64">
        <f>SUM(C35:C39)</f>
        <v>6.25</v>
      </c>
      <c r="D40" s="61">
        <f>SUM(D35:D39)</f>
        <v>406250</v>
      </c>
    </row>
    <row r="41" spans="1:4" x14ac:dyDescent="0.25">
      <c r="C41" s="6"/>
    </row>
    <row r="42" spans="1:4" x14ac:dyDescent="0.25">
      <c r="A42" s="9" t="s">
        <v>41</v>
      </c>
      <c r="C42" s="6"/>
    </row>
    <row r="43" spans="1:4" x14ac:dyDescent="0.25">
      <c r="A43" t="s">
        <v>42</v>
      </c>
      <c r="B43" s="35">
        <v>500</v>
      </c>
    </row>
    <row r="44" spans="1:4" x14ac:dyDescent="0.25">
      <c r="A44" t="s">
        <v>43</v>
      </c>
      <c r="B44" s="35">
        <v>500</v>
      </c>
    </row>
    <row r="45" spans="1:4" x14ac:dyDescent="0.25">
      <c r="A45" t="s">
        <v>44</v>
      </c>
      <c r="B45" s="35">
        <v>1000</v>
      </c>
    </row>
    <row r="46" spans="1:4" x14ac:dyDescent="0.25">
      <c r="A46" t="s">
        <v>45</v>
      </c>
      <c r="B46" s="35">
        <v>500</v>
      </c>
    </row>
    <row r="47" spans="1:4" x14ac:dyDescent="0.25">
      <c r="A47" t="s">
        <v>52</v>
      </c>
      <c r="B47" s="35">
        <v>300</v>
      </c>
    </row>
    <row r="48" spans="1:4" x14ac:dyDescent="0.25">
      <c r="A48" t="s">
        <v>73</v>
      </c>
      <c r="B48" s="35">
        <v>200</v>
      </c>
    </row>
    <row r="49" spans="1:3" x14ac:dyDescent="0.25">
      <c r="A49" t="s">
        <v>46</v>
      </c>
      <c r="B49" s="35">
        <v>175</v>
      </c>
      <c r="C49" t="s">
        <v>72</v>
      </c>
    </row>
    <row r="50" spans="1:3" x14ac:dyDescent="0.25">
      <c r="A50" t="s">
        <v>92</v>
      </c>
      <c r="B50" s="35">
        <v>70</v>
      </c>
      <c r="C50" t="s">
        <v>91</v>
      </c>
    </row>
    <row r="51" spans="1:3" x14ac:dyDescent="0.25">
      <c r="A51" t="s">
        <v>51</v>
      </c>
      <c r="B51" s="35">
        <v>165</v>
      </c>
    </row>
    <row r="52" spans="1:3" x14ac:dyDescent="0.25">
      <c r="A52" t="s">
        <v>47</v>
      </c>
      <c r="B52" s="35">
        <v>2500</v>
      </c>
    </row>
    <row r="53" spans="1:3" x14ac:dyDescent="0.25">
      <c r="A53" t="s">
        <v>50</v>
      </c>
      <c r="B53" s="35">
        <v>1500</v>
      </c>
    </row>
    <row r="54" spans="1:3" x14ac:dyDescent="0.25">
      <c r="A54" t="s">
        <v>97</v>
      </c>
      <c r="B54" s="35">
        <v>50</v>
      </c>
      <c r="C54" t="s">
        <v>100</v>
      </c>
    </row>
    <row r="55" spans="1:3" x14ac:dyDescent="0.25">
      <c r="A55" t="s">
        <v>87</v>
      </c>
      <c r="B55" s="35">
        <v>50000</v>
      </c>
      <c r="C55" t="s">
        <v>93</v>
      </c>
    </row>
    <row r="56" spans="1:3" x14ac:dyDescent="0.25">
      <c r="A56" t="s">
        <v>88</v>
      </c>
      <c r="B56" s="35">
        <v>200000</v>
      </c>
      <c r="C56" t="s">
        <v>94</v>
      </c>
    </row>
    <row r="57" spans="1:3" x14ac:dyDescent="0.25">
      <c r="A57" t="s">
        <v>63</v>
      </c>
      <c r="B57" s="37">
        <f>2*B30</f>
        <v>17333.333333333332</v>
      </c>
      <c r="C57" t="s">
        <v>58</v>
      </c>
    </row>
    <row r="58" spans="1:3" x14ac:dyDescent="0.25">
      <c r="A58" t="s">
        <v>65</v>
      </c>
      <c r="B58" s="37">
        <f>E26*E29</f>
        <v>122635.31539678953</v>
      </c>
      <c r="C58" t="s">
        <v>66</v>
      </c>
    </row>
    <row r="84" spans="2:3" x14ac:dyDescent="0.25">
      <c r="B84">
        <v>0.5</v>
      </c>
      <c r="C84" t="s">
        <v>32</v>
      </c>
    </row>
    <row r="85" spans="2:3" x14ac:dyDescent="0.25">
      <c r="B85">
        <v>1</v>
      </c>
      <c r="C85" t="s">
        <v>27</v>
      </c>
    </row>
    <row r="86" spans="2:3" x14ac:dyDescent="0.25">
      <c r="B86">
        <v>2</v>
      </c>
      <c r="C86" t="s">
        <v>31</v>
      </c>
    </row>
  </sheetData>
  <sheetProtection algorithmName="SHA-512" hashValue="bjfPld2U34CPP/oFCPwUF4d7GmqFQSTKidmfmMMgl+OYmnDJ6O9XP8jCAPq+ntICIf/fk/NIRJlrRPwnk+jiGA==" saltValue="2uJm4ctl27GOxVHEUPtfMQ==" spinCount="100000" sheet="1" objects="1" scenarios="1"/>
  <protectedRanges>
    <protectedRange sqref="B43:B56" name="Range7"/>
    <protectedRange sqref="C37:C39" name="Range6"/>
    <protectedRange sqref="C35" name="Range5"/>
    <protectedRange sqref="B35:B39" name="Range4"/>
    <protectedRange sqref="B26:D29" name="Range3"/>
    <protectedRange sqref="B19:B20" name="Range2"/>
    <protectedRange sqref="B12:B16" name="Range1"/>
  </protectedRanges>
  <mergeCells count="2">
    <mergeCell ref="A33:C33"/>
    <mergeCell ref="A1:F1"/>
  </mergeCells>
  <dataValidations count="5">
    <dataValidation type="list" allowBlank="1" showInputMessage="1" showErrorMessage="1" sqref="B16" xr:uid="{A38B2153-1873-40A7-9040-AEC863AD5B9A}">
      <formula1>"10,15,20,21"</formula1>
    </dataValidation>
    <dataValidation type="list" allowBlank="1" showInputMessage="1" showErrorMessage="1" sqref="B15" xr:uid="{629A4022-D512-46FD-AB0C-DFCDD0094A48}">
      <formula1>".5,1,2"</formula1>
    </dataValidation>
    <dataValidation type="list" allowBlank="1" showInputMessage="1" showErrorMessage="1" sqref="C35 C37:C39" xr:uid="{9D254DE3-7045-4CC9-8377-282492FD6CB6}">
      <formula1>".25,.5,1,1.5,2,2.5,3,3.5,4,5,6,7,8,9,10"</formula1>
    </dataValidation>
    <dataValidation type="list" allowBlank="1" showInputMessage="1" showErrorMessage="1" sqref="B19" xr:uid="{A5A49184-E485-4B15-AC83-63CBA79C5C28}">
      <formula1>"5,10,15"</formula1>
    </dataValidation>
    <dataValidation type="list" allowBlank="1" showInputMessage="1" showErrorMessage="1" sqref="B20" xr:uid="{E8EB72C9-FF39-41B7-AE3C-EB3DF423EB29}">
      <formula1>"2,3,5,6,7,8,9,10"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AA46-0E16-45F6-8EFD-D6BD84BCFE5D}">
  <sheetPr>
    <tabColor theme="5" tint="-0.249977111117893"/>
  </sheetPr>
  <dimension ref="A1:I47"/>
  <sheetViews>
    <sheetView tabSelected="1" workbookViewId="0">
      <selection activeCell="C6" sqref="C6"/>
    </sheetView>
  </sheetViews>
  <sheetFormatPr defaultRowHeight="15" x14ac:dyDescent="0.25"/>
  <cols>
    <col min="1" max="1" width="32.85546875" customWidth="1"/>
    <col min="2" max="2" width="14" customWidth="1"/>
    <col min="3" max="3" width="16.42578125" customWidth="1"/>
    <col min="4" max="6" width="14.7109375" customWidth="1"/>
    <col min="7" max="7" width="12.28515625" customWidth="1"/>
    <col min="8" max="8" width="30" customWidth="1"/>
    <col min="9" max="9" width="14.5703125" customWidth="1"/>
    <col min="10" max="10" width="10.42578125" customWidth="1"/>
    <col min="11" max="11" width="9.42578125" bestFit="1" customWidth="1"/>
  </cols>
  <sheetData>
    <row r="1" spans="1:9" ht="23.25" x14ac:dyDescent="0.35">
      <c r="A1" s="99" t="s">
        <v>84</v>
      </c>
      <c r="B1" s="99"/>
      <c r="C1" s="99"/>
      <c r="D1" s="99"/>
      <c r="E1" s="99"/>
      <c r="F1" s="99"/>
      <c r="G1" s="46"/>
      <c r="H1" s="46"/>
      <c r="I1" s="46"/>
    </row>
    <row r="2" spans="1:9" ht="18.75" x14ac:dyDescent="0.3">
      <c r="B2" s="100" t="str">
        <f>'User Input'!B12</f>
        <v>LEA Name</v>
      </c>
      <c r="C2" s="100"/>
      <c r="D2" s="100"/>
    </row>
    <row r="5" spans="1:9" ht="15.75" thickBot="1" x14ac:dyDescent="0.3"/>
    <row r="6" spans="1:9" x14ac:dyDescent="0.25">
      <c r="A6" s="17" t="s">
        <v>0</v>
      </c>
      <c r="B6" s="18" t="s">
        <v>8</v>
      </c>
      <c r="C6" s="18" t="s">
        <v>9</v>
      </c>
      <c r="D6" s="18" t="s">
        <v>98</v>
      </c>
      <c r="E6" s="42" t="s">
        <v>10</v>
      </c>
      <c r="F6" s="67" t="s">
        <v>83</v>
      </c>
    </row>
    <row r="7" spans="1:9" x14ac:dyDescent="0.25">
      <c r="A7" s="19" t="s">
        <v>23</v>
      </c>
      <c r="B7" s="3" t="s">
        <v>24</v>
      </c>
      <c r="C7" s="3" t="s">
        <v>25</v>
      </c>
      <c r="D7" s="7" t="s">
        <v>99</v>
      </c>
      <c r="E7" s="43" t="s">
        <v>49</v>
      </c>
      <c r="F7" s="68"/>
    </row>
    <row r="8" spans="1:9" ht="15.75" thickBot="1" x14ac:dyDescent="0.3">
      <c r="A8" s="20" t="s">
        <v>11</v>
      </c>
      <c r="B8" s="52">
        <f>'User Input'!D35</f>
        <v>67500</v>
      </c>
      <c r="C8" s="52">
        <f>'User Input'!B57+'User Input'!B58</f>
        <v>139968.64873012286</v>
      </c>
      <c r="D8" s="91">
        <f>'User Input'!B54*'User Input'!E26</f>
        <v>116000</v>
      </c>
      <c r="E8" s="66">
        <f>'User Input'!D37</f>
        <v>31250</v>
      </c>
      <c r="F8" s="69">
        <f>SUM(B8:E8)</f>
        <v>354718.64873012283</v>
      </c>
    </row>
    <row r="9" spans="1:9" ht="15.75" thickBot="1" x14ac:dyDescent="0.3">
      <c r="F9" s="68"/>
    </row>
    <row r="10" spans="1:9" ht="15.75" thickBot="1" x14ac:dyDescent="0.3">
      <c r="A10" s="17" t="s">
        <v>1</v>
      </c>
      <c r="B10" s="18"/>
      <c r="C10" s="22"/>
      <c r="D10" s="22"/>
      <c r="E10" s="44"/>
      <c r="F10" s="68"/>
    </row>
    <row r="11" spans="1:9" x14ac:dyDescent="0.25">
      <c r="A11" s="19" t="s">
        <v>23</v>
      </c>
      <c r="B11" s="18" t="s">
        <v>15</v>
      </c>
      <c r="C11" s="22" t="s">
        <v>19</v>
      </c>
      <c r="D11" s="90" t="s">
        <v>86</v>
      </c>
      <c r="E11" s="87" t="s">
        <v>89</v>
      </c>
      <c r="F11" s="68"/>
    </row>
    <row r="12" spans="1:9" ht="15.75" thickBot="1" x14ac:dyDescent="0.3">
      <c r="A12" s="20" t="s">
        <v>11</v>
      </c>
      <c r="B12" s="21"/>
      <c r="C12" s="73">
        <f>SUM('User Input'!B43:B47)</f>
        <v>2800</v>
      </c>
      <c r="D12" s="54">
        <f>'User Input'!B55</f>
        <v>50000</v>
      </c>
      <c r="E12" s="77">
        <f>'User Input'!B56</f>
        <v>200000</v>
      </c>
      <c r="F12" s="69">
        <f>SUM(B12:E12)</f>
        <v>252800</v>
      </c>
    </row>
    <row r="13" spans="1:9" ht="15.75" thickBot="1" x14ac:dyDescent="0.3">
      <c r="C13" s="40"/>
      <c r="D13" s="84"/>
      <c r="E13" s="84"/>
      <c r="F13" s="68"/>
    </row>
    <row r="14" spans="1:9" x14ac:dyDescent="0.25">
      <c r="A14" s="23"/>
      <c r="B14" s="24"/>
      <c r="C14" s="7" t="s">
        <v>48</v>
      </c>
      <c r="D14" s="85"/>
      <c r="E14" s="85" t="s">
        <v>95</v>
      </c>
      <c r="F14" s="68"/>
    </row>
    <row r="15" spans="1:9" x14ac:dyDescent="0.25">
      <c r="A15" s="25" t="s">
        <v>2</v>
      </c>
      <c r="B15" s="38" t="s">
        <v>74</v>
      </c>
      <c r="C15" s="4" t="s">
        <v>16</v>
      </c>
      <c r="D15" s="39" t="s">
        <v>75</v>
      </c>
      <c r="E15" s="86" t="s">
        <v>90</v>
      </c>
      <c r="F15" s="70"/>
    </row>
    <row r="16" spans="1:9" x14ac:dyDescent="0.25">
      <c r="A16" s="19" t="s">
        <v>37</v>
      </c>
      <c r="B16" s="74">
        <f>'User Input'!C36</f>
        <v>4</v>
      </c>
      <c r="C16" s="75">
        <f>'User Input'!B21</f>
        <v>1500</v>
      </c>
      <c r="D16" s="76">
        <f>B16</f>
        <v>4</v>
      </c>
      <c r="E16" s="92">
        <f>('User Input'!B14*6)</f>
        <v>18000</v>
      </c>
      <c r="F16" s="70"/>
    </row>
    <row r="17" spans="1:6" ht="15.75" thickBot="1" x14ac:dyDescent="0.3">
      <c r="A17" s="20" t="s">
        <v>38</v>
      </c>
      <c r="B17" s="77">
        <f>'User Input'!D36</f>
        <v>220000</v>
      </c>
      <c r="C17" s="78">
        <f>'User Input'!B22</f>
        <v>25</v>
      </c>
      <c r="D17" s="79">
        <f>D16*'User Input'!B49</f>
        <v>700</v>
      </c>
      <c r="E17" s="93">
        <f>E16*'User Input'!B50</f>
        <v>1260000</v>
      </c>
      <c r="F17" s="69">
        <f>SUM(B17:E17)</f>
        <v>1480725</v>
      </c>
    </row>
    <row r="18" spans="1:6" ht="15.75" thickBot="1" x14ac:dyDescent="0.3">
      <c r="E18" s="84"/>
      <c r="F18" s="68"/>
    </row>
    <row r="19" spans="1:6" x14ac:dyDescent="0.25">
      <c r="A19" s="17" t="s">
        <v>3</v>
      </c>
      <c r="B19" s="18" t="s">
        <v>20</v>
      </c>
      <c r="C19" s="18" t="s">
        <v>21</v>
      </c>
      <c r="D19" s="18"/>
      <c r="E19" s="88"/>
      <c r="F19" s="68"/>
    </row>
    <row r="20" spans="1:6" x14ac:dyDescent="0.25">
      <c r="A20" s="19" t="s">
        <v>76</v>
      </c>
      <c r="B20" s="81"/>
      <c r="D20" s="81"/>
      <c r="E20" s="82"/>
      <c r="F20" s="68"/>
    </row>
    <row r="21" spans="1:6" ht="15.75" thickBot="1" x14ac:dyDescent="0.3">
      <c r="A21" s="20" t="s">
        <v>11</v>
      </c>
      <c r="B21" s="80"/>
      <c r="C21" s="49">
        <f>'User Input'!B51*'User Input'!B16*11</f>
        <v>18150</v>
      </c>
      <c r="D21" s="80"/>
      <c r="E21" s="83"/>
      <c r="F21" s="69">
        <f>SUM(B21:E21)</f>
        <v>18150</v>
      </c>
    </row>
    <row r="22" spans="1:6" ht="15.75" thickBot="1" x14ac:dyDescent="0.3">
      <c r="E22" s="84"/>
      <c r="F22" s="68"/>
    </row>
    <row r="23" spans="1:6" ht="45" x14ac:dyDescent="0.25">
      <c r="A23" s="17" t="s">
        <v>4</v>
      </c>
      <c r="B23" s="18" t="s">
        <v>15</v>
      </c>
      <c r="C23" s="18" t="s">
        <v>77</v>
      </c>
      <c r="D23" s="53" t="s">
        <v>96</v>
      </c>
      <c r="E23" s="88"/>
      <c r="F23" s="68"/>
    </row>
    <row r="24" spans="1:6" x14ac:dyDescent="0.25">
      <c r="A24" s="19" t="s">
        <v>18</v>
      </c>
      <c r="B24" s="50">
        <f>'User Input'!C39</f>
        <v>1</v>
      </c>
      <c r="C24" s="51">
        <f>'User Input'!B20</f>
        <v>10</v>
      </c>
      <c r="D24" s="89">
        <v>45</v>
      </c>
      <c r="E24" s="82"/>
      <c r="F24" s="68"/>
    </row>
    <row r="25" spans="1:6" ht="18" thickBot="1" x14ac:dyDescent="0.45">
      <c r="A25" s="20" t="s">
        <v>11</v>
      </c>
      <c r="B25" s="52">
        <f>'User Input'!D39</f>
        <v>60000</v>
      </c>
      <c r="C25" s="54">
        <f>(('User Input'!B14*6)*C24)/60</f>
        <v>3000</v>
      </c>
      <c r="D25" s="94">
        <f>((D24*48)/60)*(B25/2050)</f>
        <v>1053.6585365853659</v>
      </c>
      <c r="E25" s="83"/>
      <c r="F25" s="71">
        <f>SUM(B25:E25)</f>
        <v>64053.658536585368</v>
      </c>
    </row>
    <row r="26" spans="1:6" ht="15.75" thickBot="1" x14ac:dyDescent="0.3">
      <c r="A26" s="26"/>
      <c r="B26" s="26"/>
      <c r="C26" s="26"/>
      <c r="D26" s="26"/>
      <c r="E26" s="45" t="s">
        <v>78</v>
      </c>
      <c r="F26" s="72">
        <f>SUM(F8:F25)</f>
        <v>2170447.3072667085</v>
      </c>
    </row>
    <row r="27" spans="1:6" x14ac:dyDescent="0.25">
      <c r="A27" s="26"/>
      <c r="B27" s="26"/>
      <c r="C27" s="26"/>
      <c r="D27" s="26"/>
      <c r="E27" s="26"/>
      <c r="F27" s="27"/>
    </row>
    <row r="47" spans="9:9" x14ac:dyDescent="0.25">
      <c r="I47" s="34" t="e">
        <f>AVERAGE(B47:D47)</f>
        <v>#DIV/0!</v>
      </c>
    </row>
  </sheetData>
  <sheetProtection algorithmName="SHA-512" hashValue="ZBBmu0QTWOMlqMkQys6SK5jiEm3z0ZjF44qqdBTA0u1TerCFkGUZk05GaAQL0+AteScxg5150E22BhYoz8FjRA==" saltValue="L2NB2+OC9eHRa51SPBR4Jg==" spinCount="100000" sheet="1" objects="1" scenarios="1"/>
  <mergeCells count="2">
    <mergeCell ref="A1:F1"/>
    <mergeCell ref="B2:D2"/>
  </mergeCells>
  <dataValidations count="1">
    <dataValidation type="list" allowBlank="1" showInputMessage="1" showErrorMessage="1" sqref="D24" xr:uid="{6F408650-0352-452B-BC64-1F41ED42383C}">
      <formula1>"0,5,10,15,20,25,30,45,"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Input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Christakos</dc:creator>
  <cp:lastModifiedBy>Sara Bachez</cp:lastModifiedBy>
  <dcterms:created xsi:type="dcterms:W3CDTF">2020-11-05T19:17:01Z</dcterms:created>
  <dcterms:modified xsi:type="dcterms:W3CDTF">2020-11-12T15:58:24Z</dcterms:modified>
</cp:coreProperties>
</file>